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<sst xmlns="http://schemas.openxmlformats.org/spreadsheetml/2006/main" count="985" uniqueCount="275">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</sst>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274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230453.26000000004</v>
      </c>
      <c r="G8" s="18">
        <f aca="true" t="shared" si="0" ref="G8:G32">F8-E8</f>
        <v>6927.560000000056</v>
      </c>
      <c r="H8" s="45">
        <f>F8/E8*100</f>
        <v>103.09922304236159</v>
      </c>
      <c r="I8" s="31">
        <f aca="true" t="shared" si="1" ref="I8:I32">F8-D8</f>
        <v>-286975.74</v>
      </c>
      <c r="J8" s="31">
        <f aca="true" t="shared" si="2" ref="J8:J14">F8/D8*100</f>
        <v>44.53814146481933</v>
      </c>
      <c r="K8" s="18">
        <f>K9+K15+K18+K19+K20+K32</f>
        <v>34804.340000000004</v>
      </c>
      <c r="L8" s="18"/>
      <c r="M8" s="18">
        <f>M9+M15+M18+M19+M20+M32+M17</f>
        <v>46130.770000000004</v>
      </c>
      <c r="N8" s="18">
        <f>N9+N15+N18+N19+N20+N32+N17</f>
        <v>31916.110000000015</v>
      </c>
      <c r="O8" s="31">
        <f aca="true" t="shared" si="3" ref="O8:O32">N8-M8</f>
        <v>-14214.659999999989</v>
      </c>
      <c r="P8" s="31">
        <f>F8/M8*100</f>
        <v>499.5651709260436</v>
      </c>
      <c r="Q8" s="31">
        <f>N8-33748.16</f>
        <v>-1832.0499999999884</v>
      </c>
      <c r="R8" s="125">
        <f>N8/33748.16</f>
        <v>0.9457140774489635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128733.44</v>
      </c>
      <c r="G9" s="43">
        <f t="shared" si="0"/>
        <v>920.7900000000081</v>
      </c>
      <c r="H9" s="35">
        <f aca="true" t="shared" si="4" ref="H9:H32">F9/E9*100</f>
        <v>100.72042164840491</v>
      </c>
      <c r="I9" s="50">
        <f t="shared" si="1"/>
        <v>-183956.56</v>
      </c>
      <c r="J9" s="50">
        <f t="shared" si="2"/>
        <v>41.16966964085836</v>
      </c>
      <c r="K9" s="132">
        <f>F9-148760.15/75*60</f>
        <v>9725.320000000007</v>
      </c>
      <c r="L9" s="132">
        <f>F9/(148760.15/75*60)*100</f>
        <v>108.17198019765375</v>
      </c>
      <c r="M9" s="35">
        <f>E9-квітень!E10</f>
        <v>26164.67</v>
      </c>
      <c r="N9" s="35">
        <f>F9-квітень!F10</f>
        <v>17967.790000000008</v>
      </c>
      <c r="O9" s="47">
        <f t="shared" si="3"/>
        <v>-8196.87999999999</v>
      </c>
      <c r="P9" s="50">
        <f aca="true" t="shared" si="5" ref="P9:P32">N9/M9*100</f>
        <v>68.67195343950453</v>
      </c>
      <c r="Q9" s="132">
        <f>N9-26568.11</f>
        <v>-8600.319999999992</v>
      </c>
      <c r="R9" s="133">
        <f>N9/26568.11</f>
        <v>0.67629161426989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113481.12</v>
      </c>
      <c r="G10" s="135">
        <f t="shared" si="0"/>
        <v>858.8699999999953</v>
      </c>
      <c r="H10" s="137">
        <f t="shared" si="4"/>
        <v>100.7626112957253</v>
      </c>
      <c r="I10" s="136">
        <f t="shared" si="1"/>
        <v>-126928.88</v>
      </c>
      <c r="J10" s="136">
        <f t="shared" si="2"/>
        <v>47.20316126617029</v>
      </c>
      <c r="K10" s="138">
        <f>F10-134812.74/75*60</f>
        <v>5630.928</v>
      </c>
      <c r="L10" s="138">
        <f>F10/(134812.74/75*60)*100</f>
        <v>105.22106441868921</v>
      </c>
      <c r="M10" s="137">
        <f>E10-квітень!E11</f>
        <v>23050.67</v>
      </c>
      <c r="N10" s="137">
        <f>F10-квітень!F11</f>
        <v>15129.809999999998</v>
      </c>
      <c r="O10" s="138">
        <f t="shared" si="3"/>
        <v>-7920.860000000001</v>
      </c>
      <c r="P10" s="136">
        <f t="shared" si="5"/>
        <v>65.6371810450629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7552.54</v>
      </c>
      <c r="G11" s="135">
        <f t="shared" si="0"/>
        <v>-1405.46</v>
      </c>
      <c r="H11" s="137">
        <f t="shared" si="4"/>
        <v>84.31056039294485</v>
      </c>
      <c r="I11" s="136">
        <f t="shared" si="1"/>
        <v>-16147.46</v>
      </c>
      <c r="J11" s="136">
        <f t="shared" si="2"/>
        <v>31.867257383966248</v>
      </c>
      <c r="K11" s="138">
        <f>F11-9052.89/75*60</f>
        <v>310.22800000000007</v>
      </c>
      <c r="L11" s="138">
        <f>F11/(9052.89/75*60)*100</f>
        <v>104.28354923123997</v>
      </c>
      <c r="M11" s="137">
        <f>E11-квітень!E12</f>
        <v>2010</v>
      </c>
      <c r="N11" s="137">
        <f>F11-квітень!F12</f>
        <v>1251.08</v>
      </c>
      <c r="O11" s="138">
        <f t="shared" si="3"/>
        <v>-758.9200000000001</v>
      </c>
      <c r="P11" s="136">
        <f t="shared" si="5"/>
        <v>62.242786069651736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1950.29</v>
      </c>
      <c r="G12" s="135">
        <f t="shared" si="0"/>
        <v>-218.71000000000004</v>
      </c>
      <c r="H12" s="137">
        <f t="shared" si="4"/>
        <v>89.91655140617796</v>
      </c>
      <c r="I12" s="136">
        <f t="shared" si="1"/>
        <v>-3849.71</v>
      </c>
      <c r="J12" s="136">
        <f t="shared" si="2"/>
        <v>33.625689655172415</v>
      </c>
      <c r="K12" s="138">
        <f>F12-2098.76/75*60</f>
        <v>271.2819999999999</v>
      </c>
      <c r="L12" s="138">
        <f>F12/(2098.76/75*60)*100</f>
        <v>116.15727858354457</v>
      </c>
      <c r="M12" s="137">
        <f>E12-квітень!E13</f>
        <v>450</v>
      </c>
      <c r="N12" s="137">
        <f>F12-квітень!F13</f>
        <v>232.04999999999995</v>
      </c>
      <c r="O12" s="138">
        <f t="shared" si="3"/>
        <v>-217.95000000000005</v>
      </c>
      <c r="P12" s="136">
        <f t="shared" si="5"/>
        <v>51.56666666666666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2118.17</v>
      </c>
      <c r="G13" s="135">
        <f t="shared" si="0"/>
        <v>-301.23</v>
      </c>
      <c r="H13" s="137">
        <f t="shared" si="4"/>
        <v>87.54939241134166</v>
      </c>
      <c r="I13" s="136">
        <f t="shared" si="1"/>
        <v>-6281.83</v>
      </c>
      <c r="J13" s="136">
        <f t="shared" si="2"/>
        <v>25.216309523809528</v>
      </c>
      <c r="K13" s="138">
        <f>F13-2795.76/75*60</f>
        <v>-118.4380000000001</v>
      </c>
      <c r="L13" s="138">
        <f>F13/(2795.76/75*60)*100</f>
        <v>94.70457049246001</v>
      </c>
      <c r="M13" s="137">
        <f>E13-квітень!E14</f>
        <v>264</v>
      </c>
      <c r="N13" s="137">
        <f>F13-квітень!F14</f>
        <v>455.4000000000001</v>
      </c>
      <c r="O13" s="138">
        <f t="shared" si="3"/>
        <v>191.4000000000001</v>
      </c>
      <c r="P13" s="136">
        <f t="shared" si="5"/>
        <v>172.50000000000003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3631.31</v>
      </c>
      <c r="G14" s="135">
        <f t="shared" si="0"/>
        <v>1987.31</v>
      </c>
      <c r="H14" s="137">
        <f t="shared" si="4"/>
        <v>220.88260340632604</v>
      </c>
      <c r="I14" s="136">
        <f t="shared" si="1"/>
        <v>-748.69</v>
      </c>
      <c r="J14" s="136">
        <f t="shared" si="2"/>
        <v>82.9066210045662</v>
      </c>
      <c r="K14" s="138">
        <f>F14-0</f>
        <v>3631.31</v>
      </c>
      <c r="L14" s="138"/>
      <c r="M14" s="137">
        <f>E14-квітень!E15</f>
        <v>390</v>
      </c>
      <c r="N14" s="137">
        <f>F14-квітень!F15</f>
        <v>899.44</v>
      </c>
      <c r="O14" s="138">
        <f t="shared" si="3"/>
        <v>509.44000000000005</v>
      </c>
      <c r="P14" s="136">
        <f t="shared" si="5"/>
        <v>230.62564102564104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-896.47</v>
      </c>
      <c r="G15" s="43">
        <f t="shared" si="0"/>
        <v>-1067.67</v>
      </c>
      <c r="H15" s="35"/>
      <c r="I15" s="50">
        <f t="shared" si="1"/>
        <v>-1396.47</v>
      </c>
      <c r="J15" s="50">
        <f>F15/D15*100</f>
        <v>-179.294</v>
      </c>
      <c r="K15" s="53">
        <f>F15-645.38</f>
        <v>-1541.85</v>
      </c>
      <c r="L15" s="53">
        <f>F15/645.38*100</f>
        <v>-138.90576094703897</v>
      </c>
      <c r="M15" s="35">
        <f>E15-квітень!E19</f>
        <v>0</v>
      </c>
      <c r="N15" s="35">
        <f>F15-квітень!F19</f>
        <v>13.779999999999973</v>
      </c>
      <c r="O15" s="47">
        <f t="shared" si="3"/>
        <v>13.779999999999973</v>
      </c>
      <c r="P15" s="50"/>
      <c r="Q15" s="50">
        <f>N15-358.81</f>
        <v>-345.03000000000003</v>
      </c>
      <c r="R15" s="126">
        <f>N15/358.81</f>
        <v>0.03840472673559815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-1390.76</v>
      </c>
      <c r="G16" s="135">
        <f t="shared" si="0"/>
        <v>-1390.76</v>
      </c>
      <c r="H16" s="137"/>
      <c r="I16" s="136">
        <f t="shared" si="1"/>
        <v>-1390.76</v>
      </c>
      <c r="J16" s="136"/>
      <c r="K16" s="138">
        <f>F16-805.66</f>
        <v>-2196.42</v>
      </c>
      <c r="L16" s="138">
        <f>F16/805.66*100</f>
        <v>-172.6236874115632</v>
      </c>
      <c r="M16" s="35">
        <f>E16-квітень!E29</f>
        <v>0</v>
      </c>
      <c r="N16" s="35">
        <f>F16-квітень!F29</f>
        <v>-18.309999999999945</v>
      </c>
      <c r="O16" s="138">
        <f t="shared" si="3"/>
        <v>-18.309999999999945</v>
      </c>
      <c r="P16" s="50"/>
      <c r="Q16" s="136">
        <f>N16-358.81</f>
        <v>-377.11999999999995</v>
      </c>
      <c r="R16" s="141">
        <f>N16/358.79</f>
        <v>-0.051032637475960714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16717.34</v>
      </c>
      <c r="G19" s="43">
        <f t="shared" si="0"/>
        <v>934.5900000000001</v>
      </c>
      <c r="H19" s="35">
        <f t="shared" si="4"/>
        <v>105.9215916110944</v>
      </c>
      <c r="I19" s="50">
        <f t="shared" si="1"/>
        <v>-13232.66</v>
      </c>
      <c r="J19" s="178">
        <f>F19/D19*100</f>
        <v>55.8174958263773</v>
      </c>
      <c r="K19" s="179">
        <f>F19-0</f>
        <v>16717.34</v>
      </c>
      <c r="L19" s="180"/>
      <c r="M19" s="35">
        <f>E19-квітень!E34</f>
        <v>3120</v>
      </c>
      <c r="N19" s="35">
        <f>F19-квітень!F34</f>
        <v>359.71999999999935</v>
      </c>
      <c r="O19" s="47">
        <f t="shared" si="3"/>
        <v>-2760.2800000000007</v>
      </c>
      <c r="P19" s="50">
        <f t="shared" si="5"/>
        <v>11.529487179487157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81863.49</v>
      </c>
      <c r="G20" s="43">
        <f t="shared" si="0"/>
        <v>6111.889999999999</v>
      </c>
      <c r="H20" s="35">
        <f t="shared" si="4"/>
        <v>108.06833122996741</v>
      </c>
      <c r="I20" s="50">
        <f t="shared" si="1"/>
        <v>-84906.51</v>
      </c>
      <c r="J20" s="178">
        <f aca="true" t="shared" si="6" ref="J20:J32">F20/D20*100</f>
        <v>49.087659651016374</v>
      </c>
      <c r="K20" s="178">
        <f>K21+K25+K26+K27</f>
        <v>11163.929999999997</v>
      </c>
      <c r="L20" s="136"/>
      <c r="M20" s="35">
        <f>E20-квітень!E35</f>
        <v>14846.100000000006</v>
      </c>
      <c r="N20" s="35">
        <f>F20-квітень!F35</f>
        <v>11569.350000000006</v>
      </c>
      <c r="O20" s="47">
        <f t="shared" si="3"/>
        <v>-3276.75</v>
      </c>
      <c r="P20" s="50">
        <f t="shared" si="5"/>
        <v>77.92854689110273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39643.39</v>
      </c>
      <c r="G21" s="43">
        <f t="shared" si="0"/>
        <v>-270.7099999999991</v>
      </c>
      <c r="H21" s="35">
        <f t="shared" si="4"/>
        <v>99.32176849784912</v>
      </c>
      <c r="I21" s="50">
        <f t="shared" si="1"/>
        <v>-58556.61</v>
      </c>
      <c r="J21" s="178">
        <f t="shared" si="6"/>
        <v>40.37005091649695</v>
      </c>
      <c r="K21" s="178">
        <f>K22+K23+K24</f>
        <v>6809.129999999999</v>
      </c>
      <c r="L21" s="136"/>
      <c r="M21" s="35">
        <f>E21-квітень!E36</f>
        <v>8061.0999999999985</v>
      </c>
      <c r="N21" s="35">
        <f>F21-квітень!F36</f>
        <v>2359.489999999998</v>
      </c>
      <c r="O21" s="47">
        <f t="shared" si="3"/>
        <v>-5701.610000000001</v>
      </c>
      <c r="P21" s="50">
        <f t="shared" si="5"/>
        <v>29.270074803686825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4308.35</v>
      </c>
      <c r="G22" s="135">
        <f t="shared" si="0"/>
        <v>4032.2500000000005</v>
      </c>
      <c r="H22" s="137">
        <f t="shared" si="4"/>
        <v>1560.4310032596886</v>
      </c>
      <c r="I22" s="136">
        <f t="shared" si="1"/>
        <v>3308.3500000000004</v>
      </c>
      <c r="J22" s="136">
        <f t="shared" si="6"/>
        <v>430.8350000000001</v>
      </c>
      <c r="K22" s="136">
        <f>F22-129.75</f>
        <v>4178.6</v>
      </c>
      <c r="L22" s="136">
        <f>F22/129.75*100</f>
        <v>3320.5009633911372</v>
      </c>
      <c r="M22" s="137">
        <f>E22-квітень!E37</f>
        <v>5.100000000000023</v>
      </c>
      <c r="N22" s="137">
        <f>F22-квітень!F37</f>
        <v>89.28000000000065</v>
      </c>
      <c r="O22" s="138">
        <f t="shared" si="3"/>
        <v>84.18000000000063</v>
      </c>
      <c r="P22" s="136">
        <f t="shared" si="5"/>
        <v>1750.5882352941228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35161.95</v>
      </c>
      <c r="G24" s="135">
        <f t="shared" si="0"/>
        <v>-4226.050000000003</v>
      </c>
      <c r="H24" s="137">
        <f t="shared" si="4"/>
        <v>89.27071696963542</v>
      </c>
      <c r="I24" s="136">
        <f t="shared" si="1"/>
        <v>-60538.05</v>
      </c>
      <c r="J24" s="136">
        <f t="shared" si="6"/>
        <v>36.74184952978056</v>
      </c>
      <c r="K24" s="139">
        <f>F24-32704.51</f>
        <v>2457.4399999999987</v>
      </c>
      <c r="L24" s="139">
        <f>F24/32704.51*100</f>
        <v>107.51407068933305</v>
      </c>
      <c r="M24" s="137">
        <f>E24-квітень!E39</f>
        <v>8056</v>
      </c>
      <c r="N24" s="137">
        <f>F24-квітень!F39</f>
        <v>2238.8399999999965</v>
      </c>
      <c r="O24" s="138">
        <f t="shared" si="3"/>
        <v>-5817.1600000000035</v>
      </c>
      <c r="P24" s="136">
        <f t="shared" si="5"/>
        <v>27.790963257199557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-101.48</v>
      </c>
      <c r="G26" s="43">
        <f t="shared" si="0"/>
        <v>-101.48</v>
      </c>
      <c r="H26" s="35"/>
      <c r="I26" s="50">
        <f t="shared" si="1"/>
        <v>-101.48</v>
      </c>
      <c r="J26" s="136"/>
      <c r="K26" s="178">
        <f>F26-2664.98</f>
        <v>-2766.46</v>
      </c>
      <c r="L26" s="178">
        <f>F26/2664.98*100</f>
        <v>-3.807908502127596</v>
      </c>
      <c r="M26" s="35">
        <f>E26-квітень!E41</f>
        <v>0</v>
      </c>
      <c r="N26" s="35">
        <f>F26-квітень!F41</f>
        <v>-42.24</v>
      </c>
      <c r="O26" s="47">
        <f t="shared" si="3"/>
        <v>-42.24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42288.38</v>
      </c>
      <c r="G27" s="43">
        <f t="shared" si="0"/>
        <v>6468.379999999997</v>
      </c>
      <c r="H27" s="35">
        <f t="shared" si="4"/>
        <v>118.05801228364041</v>
      </c>
      <c r="I27" s="50">
        <f t="shared" si="1"/>
        <v>-26211.620000000003</v>
      </c>
      <c r="J27" s="178">
        <f t="shared" si="6"/>
        <v>61.734861313868606</v>
      </c>
      <c r="K27" s="132">
        <f>F27-35174.22</f>
        <v>7114.159999999996</v>
      </c>
      <c r="L27" s="132">
        <f>F27/35174.22*100</f>
        <v>120.22549469469399</v>
      </c>
      <c r="M27" s="35">
        <f>E27-квітень!E42</f>
        <v>6780</v>
      </c>
      <c r="N27" s="35">
        <f>F27-квітень!F42</f>
        <v>9242.059999999998</v>
      </c>
      <c r="O27" s="47">
        <f t="shared" si="3"/>
        <v>2462.0599999999977</v>
      </c>
      <c r="P27" s="50">
        <f t="shared" si="5"/>
        <v>136.3135693215339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-1.22</v>
      </c>
      <c r="G28" s="135">
        <f t="shared" si="0"/>
        <v>-1.22</v>
      </c>
      <c r="H28" s="137"/>
      <c r="I28" s="136">
        <f t="shared" si="1"/>
        <v>-1.22</v>
      </c>
      <c r="J28" s="136"/>
      <c r="K28" s="139">
        <f>F28-0.27</f>
        <v>-1.49</v>
      </c>
      <c r="L28" s="139">
        <f>F28/0.27*100</f>
        <v>-451.8518518518518</v>
      </c>
      <c r="M28" s="137">
        <f>E28-квітень!E43</f>
        <v>0</v>
      </c>
      <c r="N28" s="137">
        <f>F28-квітень!F43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10710.09</v>
      </c>
      <c r="G29" s="135">
        <f t="shared" si="0"/>
        <v>1570.0900000000001</v>
      </c>
      <c r="H29" s="137">
        <f t="shared" si="4"/>
        <v>117.17822757111598</v>
      </c>
      <c r="I29" s="136">
        <f t="shared" si="1"/>
        <v>-5789.91</v>
      </c>
      <c r="J29" s="136">
        <f t="shared" si="6"/>
        <v>64.90963636363637</v>
      </c>
      <c r="K29" s="139">
        <f>F29-9886.89</f>
        <v>823.2000000000007</v>
      </c>
      <c r="L29" s="139">
        <f>F29/9886.89*100</f>
        <v>108.32617739248643</v>
      </c>
      <c r="M29" s="137">
        <f>E29-квітень!E44</f>
        <v>2500</v>
      </c>
      <c r="N29" s="137">
        <f>F29-квітень!F44</f>
        <v>2527.6800000000003</v>
      </c>
      <c r="O29" s="138">
        <f t="shared" si="3"/>
        <v>27.68000000000029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31573.61</v>
      </c>
      <c r="G30" s="135">
        <f t="shared" si="0"/>
        <v>4893.610000000001</v>
      </c>
      <c r="H30" s="137">
        <f t="shared" si="4"/>
        <v>118.34186656671663</v>
      </c>
      <c r="I30" s="136">
        <f t="shared" si="1"/>
        <v>-20426.39</v>
      </c>
      <c r="J30" s="136">
        <f t="shared" si="6"/>
        <v>60.718480769230766</v>
      </c>
      <c r="K30" s="139">
        <f>F30-25287.05</f>
        <v>6286.560000000001</v>
      </c>
      <c r="L30" s="139">
        <f>F30/25287.05*100</f>
        <v>124.860788427278</v>
      </c>
      <c r="M30" s="137">
        <f>E30-квітень!E45</f>
        <v>4280</v>
      </c>
      <c r="N30" s="137">
        <f>F30-квітень!F45</f>
        <v>6714.25</v>
      </c>
      <c r="O30" s="138">
        <f t="shared" si="3"/>
        <v>2434.25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5.88</v>
      </c>
      <c r="G31" s="135">
        <f t="shared" si="0"/>
        <v>5.88</v>
      </c>
      <c r="H31" s="137"/>
      <c r="I31" s="136">
        <f t="shared" si="1"/>
        <v>5.88</v>
      </c>
      <c r="J31" s="136"/>
      <c r="K31" s="139">
        <f>F31-0</f>
        <v>5.88</v>
      </c>
      <c r="L31" s="139"/>
      <c r="M31" s="137">
        <f>E31-квітень!E46</f>
        <v>0</v>
      </c>
      <c r="N31" s="137">
        <f>F31-квітень!F46</f>
        <v>0.1299999999999999</v>
      </c>
      <c r="O31" s="138">
        <f t="shared" si="3"/>
        <v>0.1299999999999999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4019.57</v>
      </c>
      <c r="G32" s="43">
        <f t="shared" si="0"/>
        <v>25.070000000000164</v>
      </c>
      <c r="H32" s="35">
        <f t="shared" si="4"/>
        <v>100.62761296783079</v>
      </c>
      <c r="I32" s="50">
        <f t="shared" si="1"/>
        <v>-3480.43</v>
      </c>
      <c r="J32" s="178">
        <f t="shared" si="6"/>
        <v>53.59426666666667</v>
      </c>
      <c r="K32" s="178">
        <f>F32-5292.86</f>
        <v>-1273.2899999999995</v>
      </c>
      <c r="L32" s="178">
        <f>F32/2618.43*100</f>
        <v>153.51069152125513</v>
      </c>
      <c r="M32" s="35">
        <f>E32-квітень!E47</f>
        <v>2000</v>
      </c>
      <c r="N32" s="35">
        <f>F32-квітень!F47</f>
        <v>2005.4700000000003</v>
      </c>
      <c r="O32" s="47">
        <f t="shared" si="3"/>
        <v>5.470000000000255</v>
      </c>
      <c r="P32" s="50">
        <f t="shared" si="5"/>
        <v>100.27350000000001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12383.93</v>
      </c>
      <c r="G33" s="44">
        <f aca="true" t="shared" si="7" ref="G33:G54">F33-E33</f>
        <v>7220.93</v>
      </c>
      <c r="H33" s="45">
        <f>F33/E33*100</f>
        <v>239.85919039318225</v>
      </c>
      <c r="I33" s="31">
        <f aca="true" t="shared" si="8" ref="I33:I54">F33-D33</f>
        <v>-183.17000000000007</v>
      </c>
      <c r="J33" s="31">
        <f aca="true" t="shared" si="9" ref="J33:J46">F33/D33*100</f>
        <v>98.54246405296368</v>
      </c>
      <c r="K33" s="18">
        <f>K34+K35+K36+K37+K38+K41+K42+K47+K48+K52+K40</f>
        <v>7033.639999999999</v>
      </c>
      <c r="L33" s="18"/>
      <c r="M33" s="18">
        <f>M34+M35+M36+M37+M38+M41+M42+M47+M48+M52+M40+M39</f>
        <v>1074.5</v>
      </c>
      <c r="N33" s="18">
        <f>N34+N35+N36+N37+N38+N41+N42+N47+N48+N52+N40+N39</f>
        <v>1950.3300000000002</v>
      </c>
      <c r="O33" s="49">
        <f aca="true" t="shared" si="10" ref="O33:O54">N33-M33</f>
        <v>875.8300000000002</v>
      </c>
      <c r="P33" s="31">
        <f>N33/M33*100</f>
        <v>181.51046998604002</v>
      </c>
      <c r="Q33" s="31">
        <f>N33-1017.63</f>
        <v>932.7000000000002</v>
      </c>
      <c r="R33" s="127">
        <f>N33/1017.63</f>
        <v>1.9165413755490701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18.41</v>
      </c>
      <c r="G36" s="43">
        <f t="shared" si="7"/>
        <v>18.41</v>
      </c>
      <c r="H36" s="35"/>
      <c r="I36" s="50">
        <f t="shared" si="8"/>
        <v>18.41</v>
      </c>
      <c r="J36" s="50"/>
      <c r="K36" s="50">
        <f>F36-214.58</f>
        <v>-196.17000000000002</v>
      </c>
      <c r="L36" s="50">
        <f>F36/214.58*100</f>
        <v>8.579550750302916</v>
      </c>
      <c r="M36" s="35">
        <f>E36-квітень!E58</f>
        <v>0</v>
      </c>
      <c r="N36" s="35">
        <f>F36-квітень!F58</f>
        <v>0.1700000000000017</v>
      </c>
      <c r="O36" s="47">
        <f t="shared" si="10"/>
        <v>0.1700000000000017</v>
      </c>
      <c r="P36" s="50"/>
      <c r="Q36" s="50">
        <f>N36-4.23</f>
        <v>-4.059999999999999</v>
      </c>
      <c r="R36" s="126">
        <f>N36/4.23</f>
        <v>0.04018912529550867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45.79</v>
      </c>
      <c r="G38" s="43">
        <f t="shared" si="7"/>
        <v>-5.210000000000001</v>
      </c>
      <c r="H38" s="35">
        <f>F38/E38*100</f>
        <v>89.7843137254902</v>
      </c>
      <c r="I38" s="50">
        <f t="shared" si="8"/>
        <v>-94.21000000000001</v>
      </c>
      <c r="J38" s="50">
        <f t="shared" si="9"/>
        <v>32.707142857142856</v>
      </c>
      <c r="K38" s="50">
        <f>F38-47.09</f>
        <v>-1.3000000000000043</v>
      </c>
      <c r="L38" s="50">
        <f>F38/47.09*100</f>
        <v>97.23932894457421</v>
      </c>
      <c r="M38" s="35">
        <f>E38-квітень!E60</f>
        <v>14</v>
      </c>
      <c r="N38" s="35">
        <f>F38-квітень!F60</f>
        <v>4.539999999999999</v>
      </c>
      <c r="O38" s="47">
        <f t="shared" si="10"/>
        <v>-9.46</v>
      </c>
      <c r="P38" s="50">
        <f>N38/M38*100</f>
        <v>32.42857142857142</v>
      </c>
      <c r="Q38" s="50">
        <f>N38-9.02</f>
        <v>-4.48</v>
      </c>
      <c r="R38" s="126">
        <f>N38/9.02</f>
        <v>0.5033259423503326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3875.02</v>
      </c>
      <c r="G40" s="43"/>
      <c r="H40" s="35"/>
      <c r="I40" s="50">
        <f t="shared" si="8"/>
        <v>3875.02</v>
      </c>
      <c r="J40" s="50"/>
      <c r="K40" s="50">
        <f>F40-0</f>
        <v>3875.02</v>
      </c>
      <c r="L40" s="50"/>
      <c r="M40" s="35">
        <f>E40-квітень!E67</f>
        <v>0</v>
      </c>
      <c r="N40" s="35">
        <f>F40-квітень!F67</f>
        <v>526.9899999999998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3201.32</v>
      </c>
      <c r="G42" s="43">
        <f t="shared" si="7"/>
        <v>2821.32</v>
      </c>
      <c r="H42" s="35">
        <f>F42/E42*100</f>
        <v>842.4526315789475</v>
      </c>
      <c r="I42" s="50">
        <f t="shared" si="8"/>
        <v>2101.32</v>
      </c>
      <c r="J42" s="50">
        <f t="shared" si="9"/>
        <v>291.0290909090909</v>
      </c>
      <c r="K42" s="50">
        <f>F42-350.98</f>
        <v>2850.34</v>
      </c>
      <c r="L42" s="50">
        <f>F42/350.98*100</f>
        <v>912.1089520770415</v>
      </c>
      <c r="M42" s="35">
        <f>E42-квітень!E69</f>
        <v>70</v>
      </c>
      <c r="N42" s="35">
        <f>F42-квітень!F69</f>
        <v>370.22000000000025</v>
      </c>
      <c r="O42" s="47">
        <f t="shared" si="10"/>
        <v>300.22000000000025</v>
      </c>
      <c r="P42" s="50">
        <f>N42/M42*100</f>
        <v>528.8857142857147</v>
      </c>
      <c r="Q42" s="50">
        <f>N42-79.51</f>
        <v>290.71000000000026</v>
      </c>
      <c r="R42" s="126">
        <f>N42/79.51</f>
        <v>4.656269651616152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376.63</v>
      </c>
      <c r="G43" s="135">
        <f t="shared" si="7"/>
        <v>46.629999999999995</v>
      </c>
      <c r="H43" s="137">
        <f>F43/E43*100</f>
        <v>114.13030303030303</v>
      </c>
      <c r="I43" s="136">
        <f t="shared" si="8"/>
        <v>-593.37</v>
      </c>
      <c r="J43" s="136">
        <f t="shared" si="9"/>
        <v>38.82783505154639</v>
      </c>
      <c r="K43" s="136">
        <f>F43-304.83</f>
        <v>71.80000000000001</v>
      </c>
      <c r="L43" s="136">
        <f>F43/304.83*100</f>
        <v>123.5541121280714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44.73</v>
      </c>
      <c r="G44" s="135">
        <f t="shared" si="7"/>
        <v>44.73</v>
      </c>
      <c r="H44" s="137"/>
      <c r="I44" s="136">
        <f t="shared" si="8"/>
        <v>44.73</v>
      </c>
      <c r="J44" s="136"/>
      <c r="K44" s="136">
        <f>F44-0</f>
        <v>44.73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2779.23</v>
      </c>
      <c r="G46" s="135">
        <f t="shared" si="7"/>
        <v>2729.23</v>
      </c>
      <c r="H46" s="137">
        <f>F46/E46*100</f>
        <v>5558.46</v>
      </c>
      <c r="I46" s="136">
        <f t="shared" si="8"/>
        <v>2649.23</v>
      </c>
      <c r="J46" s="136">
        <f t="shared" si="9"/>
        <v>2137.869230769231</v>
      </c>
      <c r="K46" s="136">
        <f>F46-46.16</f>
        <v>2733.07</v>
      </c>
      <c r="L46" s="136">
        <f>F46/46.16*100</f>
        <v>6020.862218370884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1737.85</v>
      </c>
      <c r="G48" s="43">
        <f t="shared" si="7"/>
        <v>67.84999999999991</v>
      </c>
      <c r="H48" s="35">
        <f>F48/E48*100</f>
        <v>104.062874251497</v>
      </c>
      <c r="I48" s="50">
        <f t="shared" si="8"/>
        <v>-2462.15</v>
      </c>
      <c r="J48" s="50">
        <f>F48/D48*100</f>
        <v>41.377380952380946</v>
      </c>
      <c r="K48" s="50">
        <f>F48-1649.93</f>
        <v>87.91999999999985</v>
      </c>
      <c r="L48" s="50">
        <f>F48/1649.93*100</f>
        <v>105.3287109150085</v>
      </c>
      <c r="M48" s="35">
        <f>E48-квітень!E72</f>
        <v>400</v>
      </c>
      <c r="N48" s="35">
        <f>F48-квітень!F72</f>
        <v>302.0899999999999</v>
      </c>
      <c r="O48" s="47">
        <f t="shared" si="10"/>
        <v>-97.91000000000008</v>
      </c>
      <c r="P48" s="50">
        <f aca="true" t="shared" si="11" ref="P48:P53">N48/M48*100</f>
        <v>75.52249999999998</v>
      </c>
      <c r="Q48" s="50">
        <f>N48-277.38</f>
        <v>24.709999999999923</v>
      </c>
      <c r="R48" s="126">
        <f>N48/277.38</f>
        <v>1.0890835676689017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424.6</v>
      </c>
      <c r="G51" s="135">
        <f t="shared" si="7"/>
        <v>424.6</v>
      </c>
      <c r="H51" s="137"/>
      <c r="I51" s="136">
        <f t="shared" si="8"/>
        <v>424.6</v>
      </c>
      <c r="J51" s="136"/>
      <c r="K51" s="136">
        <f>F51-290</f>
        <v>134.60000000000002</v>
      </c>
      <c r="L51" s="138">
        <f>F51/290*100</f>
        <v>146.41379310344828</v>
      </c>
      <c r="M51" s="35">
        <f>E51-квітень!E75</f>
        <v>0</v>
      </c>
      <c r="N51" s="35">
        <f>F51-квітень!F75</f>
        <v>108.90000000000003</v>
      </c>
      <c r="O51" s="138">
        <f t="shared" si="10"/>
        <v>108.90000000000003</v>
      </c>
      <c r="P51" s="136"/>
      <c r="Q51" s="50">
        <f>N51-64.93</f>
        <v>43.97000000000003</v>
      </c>
      <c r="R51" s="126">
        <f>N51/64.93</f>
        <v>1.6771908208840294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242843.73</v>
      </c>
      <c r="G55" s="44">
        <f>F55-E55</f>
        <v>14144.430000000022</v>
      </c>
      <c r="H55" s="45">
        <f>F55/E55*100</f>
        <v>106.18472815614214</v>
      </c>
      <c r="I55" s="31">
        <f>F55-D55</f>
        <v>-287178.87</v>
      </c>
      <c r="J55" s="31">
        <f>F55/D55*100</f>
        <v>45.81761796572448</v>
      </c>
      <c r="K55" s="31">
        <f>K8+K33+K53+K54</f>
        <v>41832.810000000005</v>
      </c>
      <c r="L55" s="31">
        <f>(K55/(F55+K55))*100</f>
        <v>14.69485683646429</v>
      </c>
      <c r="M55" s="18">
        <f>M8+M33+M53+M54</f>
        <v>47207.47</v>
      </c>
      <c r="N55" s="18">
        <f>N8+N33+N53+N54</f>
        <v>33866.44000000002</v>
      </c>
      <c r="O55" s="49">
        <f>N55-M55</f>
        <v>-13341.029999999984</v>
      </c>
      <c r="P55" s="31">
        <f>N55/M55*100</f>
        <v>71.73957850314795</v>
      </c>
      <c r="Q55" s="31">
        <f>N55-34768</f>
        <v>-901.5599999999831</v>
      </c>
      <c r="R55" s="171">
        <f>N55/34768</f>
        <v>0.9740692590888178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-19.38</v>
      </c>
      <c r="G62" s="55">
        <f t="shared" si="12"/>
        <v>-19.38</v>
      </c>
      <c r="H62" s="65"/>
      <c r="I62" s="54">
        <f t="shared" si="13"/>
        <v>-19.38</v>
      </c>
      <c r="J62" s="54"/>
      <c r="K62" s="54">
        <f>K60+K61</f>
        <v>-137.82000000000002</v>
      </c>
      <c r="L62" s="54"/>
      <c r="M62" s="55">
        <f>M61</f>
        <v>0</v>
      </c>
      <c r="N62" s="33">
        <f>SUM(N60:N61)</f>
        <v>-13.479999999999999</v>
      </c>
      <c r="O62" s="54">
        <f t="shared" si="14"/>
        <v>-13.479999999999999</v>
      </c>
      <c r="P62" s="54"/>
      <c r="Q62" s="54">
        <f>N62-92.85</f>
        <v>-106.33</v>
      </c>
      <c r="R62" s="130">
        <f>N62/92.85</f>
        <v>-0.1451803984921917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91.72</v>
      </c>
      <c r="G64" s="43">
        <f t="shared" si="12"/>
        <v>-308.28</v>
      </c>
      <c r="H64" s="35"/>
      <c r="I64" s="53">
        <f t="shared" si="13"/>
        <v>-2408.28</v>
      </c>
      <c r="J64" s="53">
        <f t="shared" si="15"/>
        <v>3.6688</v>
      </c>
      <c r="K64" s="53">
        <f>F64-1611.93</f>
        <v>-1520.21</v>
      </c>
      <c r="L64" s="53">
        <f>F64/1611.93*100</f>
        <v>5.690073390283697</v>
      </c>
      <c r="M64" s="35">
        <f>E64-квітень!E88</f>
        <v>330</v>
      </c>
      <c r="N64" s="35">
        <f>F64-квітень!F88</f>
        <v>0</v>
      </c>
      <c r="O64" s="47">
        <f t="shared" si="14"/>
        <v>-330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1984.19</v>
      </c>
      <c r="G65" s="43">
        <f t="shared" si="12"/>
        <v>-79.4699999999998</v>
      </c>
      <c r="H65" s="35">
        <f>F65/E65*100</f>
        <v>96.14907494451607</v>
      </c>
      <c r="I65" s="53">
        <f t="shared" si="13"/>
        <v>-9591.81</v>
      </c>
      <c r="J65" s="53">
        <f t="shared" si="15"/>
        <v>17.140549412577748</v>
      </c>
      <c r="K65" s="53">
        <f>F65-2070.75</f>
        <v>-86.55999999999995</v>
      </c>
      <c r="L65" s="53">
        <f>F65/2070.75*100</f>
        <v>95.81987202704335</v>
      </c>
      <c r="M65" s="35">
        <f>E65-квітень!E89</f>
        <v>564.6799999999998</v>
      </c>
      <c r="N65" s="35">
        <f>F65-квітень!F89</f>
        <v>46.13000000000011</v>
      </c>
      <c r="O65" s="47">
        <f t="shared" si="14"/>
        <v>-518.5499999999997</v>
      </c>
      <c r="P65" s="53">
        <f>N65/M65*100</f>
        <v>8.169228589643714</v>
      </c>
      <c r="Q65" s="53">
        <f>N65-450.01</f>
        <v>-403.8799999999999</v>
      </c>
      <c r="R65" s="129">
        <f>N65/450.01</f>
        <v>0.10250883313704165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3744.1099999999997</v>
      </c>
      <c r="G67" s="55">
        <f t="shared" si="12"/>
        <v>688.0499999999997</v>
      </c>
      <c r="H67" s="65">
        <f>F67/E67*100</f>
        <v>122.51428309653605</v>
      </c>
      <c r="I67" s="54">
        <f t="shared" si="13"/>
        <v>-13331.89</v>
      </c>
      <c r="J67" s="54">
        <f t="shared" si="15"/>
        <v>21.926153665963923</v>
      </c>
      <c r="K67" s="54">
        <f>K64+K65+K66</f>
        <v>-639.3599999999999</v>
      </c>
      <c r="L67" s="54"/>
      <c r="M67" s="55">
        <f>M64+M65+M66</f>
        <v>1042.7799999999997</v>
      </c>
      <c r="N67" s="55">
        <f>N64+N65+N66</f>
        <v>1680.19</v>
      </c>
      <c r="O67" s="54">
        <f t="shared" si="14"/>
        <v>637.4100000000003</v>
      </c>
      <c r="P67" s="54">
        <f>N67/M67*100</f>
        <v>161.12602850073844</v>
      </c>
      <c r="Q67" s="54">
        <f>N67-7985.28</f>
        <v>-6305.09</v>
      </c>
      <c r="R67" s="173">
        <f>N67/7985.28</f>
        <v>0.2104109060671636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0.83</v>
      </c>
      <c r="G70" s="43">
        <f>F70-E70</f>
        <v>0.83</v>
      </c>
      <c r="H70" s="35"/>
      <c r="I70" s="53">
        <f>F70-D70</f>
        <v>0.83</v>
      </c>
      <c r="J70" s="53"/>
      <c r="K70" s="53">
        <f>F70-0.04</f>
        <v>0.7899999999999999</v>
      </c>
      <c r="L70" s="53">
        <f>F70/0.04*100</f>
        <v>2075</v>
      </c>
      <c r="M70" s="35">
        <f>E70-квітень!E95</f>
        <v>0</v>
      </c>
      <c r="N70" s="35">
        <f>F70-квітень!F95</f>
        <v>0.13</v>
      </c>
      <c r="O70" s="47">
        <f>N70-M70</f>
        <v>0.13</v>
      </c>
      <c r="P70" s="53"/>
      <c r="Q70" s="53">
        <f>N70-(-0.21)</f>
        <v>0.33999999999999997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0.83</v>
      </c>
      <c r="G71" s="55">
        <f>F71-E71</f>
        <v>-20.17</v>
      </c>
      <c r="H71" s="65"/>
      <c r="I71" s="54">
        <f>F71-D71</f>
        <v>-53.17</v>
      </c>
      <c r="J71" s="54">
        <f>F71/D71*100</f>
        <v>1.537037037037037</v>
      </c>
      <c r="K71" s="54">
        <f>K68+K69+K70</f>
        <v>-27.680000000000003</v>
      </c>
      <c r="L71" s="54"/>
      <c r="M71" s="55">
        <f>M68+M70+M69</f>
        <v>2</v>
      </c>
      <c r="N71" s="55">
        <f>N68+N70+N69</f>
        <v>0.13</v>
      </c>
      <c r="O71" s="54">
        <f>N71-M71</f>
        <v>-1.87</v>
      </c>
      <c r="P71" s="54"/>
      <c r="Q71" s="54">
        <f>N71-26.38</f>
        <v>-26.25</v>
      </c>
      <c r="R71" s="128">
        <f>N71/26.38</f>
        <v>0.0049279757391963615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13.38</v>
      </c>
      <c r="G72" s="43">
        <f>F72-E72</f>
        <v>-0.40999999999999837</v>
      </c>
      <c r="H72" s="35">
        <f>F72/E72*100</f>
        <v>97.02683103698332</v>
      </c>
      <c r="I72" s="53">
        <f>F72-D72</f>
        <v>-28.619999999999997</v>
      </c>
      <c r="J72" s="53">
        <f>F72/D72*100</f>
        <v>31.85714285714286</v>
      </c>
      <c r="K72" s="53">
        <f>F72-13.15</f>
        <v>0.23000000000000043</v>
      </c>
      <c r="L72" s="53">
        <f>F72/13.15*100</f>
        <v>101.74904942965779</v>
      </c>
      <c r="M72" s="35">
        <f>E72-квітень!E97</f>
        <v>1</v>
      </c>
      <c r="N72" s="35">
        <f>F72-квітень!F97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3739.1399999999994</v>
      </c>
      <c r="G74" s="44">
        <f>F74-E74</f>
        <v>648.2899999999995</v>
      </c>
      <c r="H74" s="45">
        <f>F74/E74*100</f>
        <v>120.97448921817622</v>
      </c>
      <c r="I74" s="31">
        <f>F74-D74</f>
        <v>-13432.86</v>
      </c>
      <c r="J74" s="31">
        <f>F74/D74*100</f>
        <v>21.774633123689725</v>
      </c>
      <c r="K74" s="31">
        <f>K62+K67+K71+K72</f>
        <v>-804.6299999999999</v>
      </c>
      <c r="L74" s="31"/>
      <c r="M74" s="27">
        <f>M62+M72+M67+M71</f>
        <v>1045.7799999999997</v>
      </c>
      <c r="N74" s="27">
        <f>N62+N72+N67+N71+N73</f>
        <v>1666.8400000000001</v>
      </c>
      <c r="O74" s="31">
        <f>N74-M74</f>
        <v>621.0600000000004</v>
      </c>
      <c r="P74" s="31">
        <f>N74/M74*100</f>
        <v>159.38725162079982</v>
      </c>
      <c r="Q74" s="31">
        <f>N74-8104.96</f>
        <v>-6438.12</v>
      </c>
      <c r="R74" s="127">
        <f>N74/8104.96</f>
        <v>0.20565678300694884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246582.87</v>
      </c>
      <c r="G75" s="44">
        <f>F75-E75</f>
        <v>14792.720000000001</v>
      </c>
      <c r="H75" s="45">
        <f>F75/E75*100</f>
        <v>106.38194504813944</v>
      </c>
      <c r="I75" s="31">
        <f>F75-D75</f>
        <v>-300611.73</v>
      </c>
      <c r="J75" s="31">
        <f>F75/D75*100</f>
        <v>45.06310369290925</v>
      </c>
      <c r="K75" s="31">
        <f>K55+K74</f>
        <v>41028.18000000001</v>
      </c>
      <c r="L75" s="31"/>
      <c r="M75" s="18">
        <f>M55+M74</f>
        <v>48253.25</v>
      </c>
      <c r="N75" s="18">
        <f>N55+N74</f>
        <v>35533.28000000001</v>
      </c>
      <c r="O75" s="31">
        <f>N75-M75</f>
        <v>-12719.969999999987</v>
      </c>
      <c r="P75" s="31">
        <f>N75/M75*100</f>
        <v>73.63914347738239</v>
      </c>
      <c r="Q75" s="31">
        <f>N75-42872.96</f>
        <v>-7339.679999999986</v>
      </c>
      <c r="R75" s="127">
        <f>N75/42872.96</f>
        <v>0.8288039827434358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6</v>
      </c>
      <c r="D77" s="4" t="s">
        <v>118</v>
      </c>
    </row>
    <row r="78" spans="2:17" ht="31.5">
      <c r="B78" s="71" t="s">
        <v>154</v>
      </c>
      <c r="C78" s="34">
        <f>IF(O55&lt;0,ABS(O55/C77),0)</f>
        <v>2223.5049999999974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42145</v>
      </c>
      <c r="D79" s="34">
        <v>2316.7</v>
      </c>
      <c r="N79" s="207"/>
      <c r="O79" s="207"/>
    </row>
    <row r="80" spans="3:15" ht="15.75">
      <c r="C80" s="111">
        <v>42144</v>
      </c>
      <c r="D80" s="34">
        <v>2912.1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42143</v>
      </c>
      <c r="D81" s="34">
        <v>3838.7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154086.4876</v>
      </c>
      <c r="E83" s="73"/>
      <c r="F83" s="156" t="s">
        <v>147</v>
      </c>
      <c r="G83" s="214" t="s">
        <v>149</v>
      </c>
      <c r="H83" s="214"/>
      <c r="I83" s="107">
        <v>145176.75538999998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8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96" sqref="H9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0" t="s">
        <v>161</v>
      </c>
      <c r="K104" s="250"/>
      <c r="L104" s="250"/>
      <c r="M104" s="250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0" t="s">
        <v>161</v>
      </c>
      <c r="K139" s="250"/>
      <c r="L139" s="250"/>
      <c r="M139" s="250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2015-05-21T08:05:29Z</cp:lastPrinted>
  <dcterms:created xsi:type="dcterms:W3CDTF">2003-07-28T11:27:56Z</dcterms:created>
  <dcterms:modified xsi:type="dcterms:W3CDTF">2015-05-22T09:32:33Z</dcterms:modified>
  <cp:category/>
  <cp:version/>
  <cp:contentType/>
  <cp:contentStatus/>
</cp:coreProperties>
</file>